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015" sheetId="1" r:id="rId1"/>
  </sheets>
  <definedNames>
    <definedName name="a..zz" localSheetId="0">'2015'!$A$11</definedName>
    <definedName name="a..zz">#REF!</definedName>
    <definedName name="_xlnm.Print_Area" localSheetId="0">'2015'!$A$2:$D$42</definedName>
    <definedName name="_xlnm.Print_Titles" localSheetId="0">'2015'!$2:$4</definedName>
    <definedName name="f..zz" localSheetId="0">'2015'!$A$11</definedName>
    <definedName name="f..zz">#REF!</definedName>
    <definedName name="j..zz" localSheetId="0">'2015'!$A$11</definedName>
    <definedName name="j..zz">#REF!</definedName>
    <definedName name="TOEL.BAL.">#N/A</definedName>
  </definedNames>
  <calcPr calcId="125725" iterate="1" concurrentCalc="0"/>
</workbook>
</file>

<file path=xl/calcChain.xml><?xml version="1.0" encoding="utf-8"?>
<calcChain xmlns="http://schemas.openxmlformats.org/spreadsheetml/2006/main">
  <c r="B17" i="1"/>
  <c r="E10"/>
  <c r="E11"/>
  <c r="A13"/>
  <c r="B14"/>
  <c r="E14"/>
  <c r="B15"/>
  <c r="B16"/>
  <c r="B18"/>
  <c r="B19"/>
  <c r="B20"/>
  <c r="A21"/>
  <c r="B21"/>
  <c r="B22"/>
  <c r="B23"/>
  <c r="B24"/>
  <c r="B27"/>
  <c r="A28"/>
  <c r="B28"/>
  <c r="A29"/>
  <c r="B29"/>
  <c r="A30"/>
  <c r="B30"/>
  <c r="A31"/>
  <c r="B31"/>
  <c r="B32"/>
  <c r="G88"/>
  <c r="G84"/>
  <c r="G89"/>
  <c r="G85"/>
  <c r="G90"/>
  <c r="G91"/>
  <c r="B33"/>
  <c r="A34"/>
  <c r="B34"/>
  <c r="G104"/>
  <c r="G98"/>
  <c r="G105"/>
  <c r="G99"/>
  <c r="G106"/>
  <c r="G100"/>
  <c r="G107"/>
  <c r="G101"/>
  <c r="G108"/>
  <c r="G109"/>
  <c r="B35"/>
  <c r="B36"/>
  <c r="A37"/>
  <c r="B37"/>
  <c r="B38"/>
  <c r="E38"/>
  <c r="B41"/>
  <c r="E41"/>
  <c r="G52"/>
  <c r="G53"/>
  <c r="G54"/>
  <c r="G55"/>
  <c r="G62"/>
  <c r="G63"/>
  <c r="G64"/>
  <c r="E87"/>
  <c r="E103"/>
  <c r="I103"/>
</calcChain>
</file>

<file path=xl/comments1.xml><?xml version="1.0" encoding="utf-8"?>
<comments xmlns="http://schemas.openxmlformats.org/spreadsheetml/2006/main">
  <authors>
    <author>Willeke de Waal</author>
  </authors>
  <commentList>
    <comment ref="E38" authorId="0">
      <text>
        <r>
          <rPr>
            <b/>
            <sz val="9"/>
            <color indexed="81"/>
            <rFont val="Tahoma"/>
            <family val="2"/>
          </rPr>
          <t>Willeke de Waal:</t>
        </r>
        <r>
          <rPr>
            <sz val="9"/>
            <color indexed="81"/>
            <rFont val="Tahoma"/>
            <family val="2"/>
          </rPr>
          <t xml:space="preserve">
Dit is de winst uit onderneming minus belastingen. Hiervan moeten AOV, pensioen, hypotheek en andere privé uitgaven van betaald worden. </t>
        </r>
      </text>
    </comment>
  </commentList>
</comments>
</file>

<file path=xl/sharedStrings.xml><?xml version="1.0" encoding="utf-8"?>
<sst xmlns="http://schemas.openxmlformats.org/spreadsheetml/2006/main" count="82" uniqueCount="65">
  <si>
    <t>arbeidskorting</t>
  </si>
  <si>
    <t>arbeidsinkomen</t>
  </si>
  <si>
    <t>184 euro</t>
  </si>
  <si>
    <t>2.220 euro - 4% x (arbeidsinkomen - 49.770 euro)</t>
  </si>
  <si>
    <t>2.220 euro</t>
  </si>
  <si>
    <t>163 euro + 19,679% x (arbeidsinkomen - 9.010 euro)</t>
  </si>
  <si>
    <t>1,810% x arbeidsinkomen</t>
  </si>
  <si>
    <t>Arbeidskorting</t>
  </si>
  <si>
    <t>niet meer dan</t>
  </si>
  <si>
    <t>meer dan</t>
  </si>
  <si>
    <t xml:space="preserve">Bij een arbeidsinkomen </t>
  </si>
  <si>
    <t>algemene heffingskorting</t>
  </si>
  <si>
    <t>inkomen box 1</t>
  </si>
  <si>
    <t>€ 2.203 - 2,320% x (belastbaar inkomen uit werk en woning - € 19.822)</t>
  </si>
  <si>
    <t>bedraagt de algemene heffings-korting</t>
  </si>
  <si>
    <t>maar niet meer dan</t>
  </si>
  <si>
    <t>kalenderjaar van</t>
  </si>
  <si>
    <t xml:space="preserve">Bij een inkomen in box 1 in een </t>
  </si>
  <si>
    <t>nee</t>
  </si>
  <si>
    <t>ja</t>
  </si>
  <si>
    <t>Aanmerkelijk belang</t>
  </si>
  <si>
    <t>Min. DGA-salaris</t>
  </si>
  <si>
    <t>Max. oudedagsreserve</t>
  </si>
  <si>
    <t>Inkomensafhankelijke combinatiekorting</t>
  </si>
  <si>
    <t>Bijdrage zorgverzekeringswet max. inkomen</t>
  </si>
  <si>
    <t>Bijdrage zorgverzekeringswet%</t>
  </si>
  <si>
    <t>Winstvrijstelling</t>
  </si>
  <si>
    <t>Startersaftrek</t>
  </si>
  <si>
    <t>-</t>
  </si>
  <si>
    <t>bedraagt het percentage</t>
  </si>
  <si>
    <t>Bij een winst in 2015 van</t>
  </si>
  <si>
    <t>Belastingschijven</t>
  </si>
  <si>
    <t>Bij een investeringsbedrag in een kalenderjaar van</t>
  </si>
  <si>
    <t>Investeringsaftek</t>
  </si>
  <si>
    <t>Tabellen 2015</t>
  </si>
  <si>
    <t>per maand</t>
  </si>
  <si>
    <t>Totaal inkomstenbelasting + bijdrage Zvw</t>
  </si>
  <si>
    <t>Vrij besteedbaar inkomen / netto inkomen</t>
  </si>
  <si>
    <t>Inkomstenbelasting</t>
  </si>
  <si>
    <t>Arbeidskorting (tot AOW-leeftijd)</t>
  </si>
  <si>
    <t>Algemene heffingskorting</t>
  </si>
  <si>
    <t>Belasting voor heffingskorting</t>
  </si>
  <si>
    <t>Belastbare inkomsten uit werk en woning</t>
  </si>
  <si>
    <t>Premies arbeidsongeschiktheidsverzekering (AOV)</t>
  </si>
  <si>
    <t>Premies lijfrenteverzekeringen, banksparen et cetera</t>
  </si>
  <si>
    <t>Hypotheek</t>
  </si>
  <si>
    <t>Aftrekbare rente eigen woning</t>
  </si>
  <si>
    <t>WOZ-waarde</t>
  </si>
  <si>
    <t>Eigenwoningforfait</t>
  </si>
  <si>
    <t>Bel. fiscale winst uit onderneming</t>
  </si>
  <si>
    <t>Belastbaar inkomen voor vrijstelling</t>
  </si>
  <si>
    <t>Investeringsaftrek</t>
  </si>
  <si>
    <t>Zelfstandigenaftrek</t>
  </si>
  <si>
    <t>Winst voor de ondernemersaftrek</t>
  </si>
  <si>
    <t>Toevoeging oudedagsreserve</t>
  </si>
  <si>
    <t>Winst volgens de boekhouding</t>
  </si>
  <si>
    <t>Extra kosten BV</t>
  </si>
  <si>
    <t>Kosten (excl. btw)</t>
  </si>
  <si>
    <t>Omzet (excl. btw)</t>
  </si>
  <si>
    <t>Inkomensafhankelijke combinatiekorting (ja/nee)</t>
  </si>
  <si>
    <t>Startersaftrek (ja/nee)</t>
  </si>
  <si>
    <t>Investeringen excl. BTW (&gt; € 2.300)</t>
  </si>
  <si>
    <t xml:space="preserve">€ </t>
  </si>
  <si>
    <t>Schatting inkomstenbelasting 2015</t>
  </si>
  <si>
    <t>Zelfstandigenaftrek (ja/nee)</t>
  </si>
</sst>
</file>

<file path=xl/styles.xml><?xml version="1.0" encoding="utf-8"?>
<styleSheet xmlns="http://schemas.openxmlformats.org/spreadsheetml/2006/main">
  <numFmts count="9">
    <numFmt numFmtId="6" formatCode="&quot;€&quot;\ #,##0;[Red]&quot;€&quot;\ \-#,##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_-* #,##0.00_-;_-* #,##0.00\-;_-* &quot;-&quot;??_-;_-@_-"/>
    <numFmt numFmtId="166" formatCode="_-* #,##0_-;_-* #,##0\-;_-* &quot;-&quot;??_-;_-@_-"/>
    <numFmt numFmtId="167" formatCode="_-&quot;€&quot;\ * #,##0.00_-;_-&quot;€&quot;\ * #,##0.00\-;_-&quot;€&quot;\ * &quot;-&quot;??_-;_-@_-"/>
    <numFmt numFmtId="168" formatCode="_-&quot;€&quot;\ * #,##0_-;_-&quot;€&quot;\ * #,##0\-;_-&quot;€&quot;\ * &quot;-&quot;??_-;_-@_-"/>
    <numFmt numFmtId="169" formatCode="_ &quot;€&quot;\ * #,##0_ ;_ &quot;€&quot;\ * \-#,##0_ ;_ &quot;€&quot;\ * &quot;-&quot;??_ ;_ @_ "/>
  </numFmts>
  <fonts count="9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2" applyFont="1" applyFill="1" applyBorder="1"/>
    <xf numFmtId="164" fontId="2" fillId="0" borderId="0" xfId="3" applyNumberFormat="1" applyFont="1" applyFill="1" applyBorder="1"/>
    <xf numFmtId="164" fontId="2" fillId="0" borderId="0" xfId="1" applyNumberFormat="1" applyFont="1" applyFill="1" applyBorder="1"/>
    <xf numFmtId="3" fontId="4" fillId="0" borderId="0" xfId="2" applyNumberFormat="1" applyFont="1" applyFill="1" applyBorder="1"/>
    <xf numFmtId="3" fontId="2" fillId="0" borderId="0" xfId="2" applyNumberFormat="1" applyFont="1" applyFill="1" applyBorder="1"/>
    <xf numFmtId="0" fontId="4" fillId="0" borderId="0" xfId="2" applyFont="1" applyFill="1" applyBorder="1"/>
    <xf numFmtId="166" fontId="2" fillId="0" borderId="0" xfId="4" applyNumberFormat="1" applyFont="1" applyFill="1" applyBorder="1"/>
    <xf numFmtId="166" fontId="2" fillId="0" borderId="0" xfId="4" quotePrefix="1" applyNumberFormat="1" applyFont="1" applyFill="1" applyBorder="1" applyAlignment="1">
      <alignment horizontal="right"/>
    </xf>
    <xf numFmtId="6" fontId="2" fillId="0" borderId="0" xfId="2" applyNumberFormat="1" applyFont="1" applyFill="1" applyBorder="1"/>
    <xf numFmtId="165" fontId="2" fillId="0" borderId="0" xfId="4" applyFont="1" applyFill="1" applyBorder="1"/>
    <xf numFmtId="168" fontId="2" fillId="0" borderId="0" xfId="5" applyNumberFormat="1" applyFont="1" applyFill="1" applyBorder="1" applyAlignment="1">
      <alignment horizontal="right"/>
    </xf>
    <xf numFmtId="168" fontId="2" fillId="0" borderId="0" xfId="4" applyNumberFormat="1" applyFont="1" applyFill="1" applyBorder="1"/>
    <xf numFmtId="166" fontId="2" fillId="0" borderId="0" xfId="4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right" vertical="top" wrapText="1"/>
    </xf>
    <xf numFmtId="10" fontId="2" fillId="0" borderId="0" xfId="6" applyNumberFormat="1" applyFont="1" applyFill="1" applyBorder="1"/>
    <xf numFmtId="0" fontId="4" fillId="0" borderId="0" xfId="2" applyFont="1" applyFill="1" applyBorder="1" applyAlignment="1">
      <alignment horizontal="center" vertical="top" wrapText="1"/>
    </xf>
    <xf numFmtId="169" fontId="2" fillId="0" borderId="0" xfId="2" applyNumberFormat="1" applyFont="1" applyFill="1" applyBorder="1"/>
    <xf numFmtId="169" fontId="4" fillId="0" borderId="0" xfId="7" applyNumberFormat="1" applyFont="1" applyFill="1" applyBorder="1"/>
    <xf numFmtId="9" fontId="2" fillId="0" borderId="0" xfId="2" applyNumberFormat="1" applyFont="1" applyFill="1" applyBorder="1"/>
    <xf numFmtId="169" fontId="2" fillId="0" borderId="0" xfId="7" applyNumberFormat="1" applyFont="1" applyFill="1" applyBorder="1"/>
    <xf numFmtId="3" fontId="2" fillId="0" borderId="0" xfId="2" applyNumberFormat="1" applyFont="1" applyFill="1" applyBorder="1" applyAlignment="1">
      <alignment horizontal="right"/>
    </xf>
    <xf numFmtId="0" fontId="2" fillId="0" borderId="1" xfId="2" applyFont="1" applyFill="1" applyBorder="1"/>
    <xf numFmtId="0" fontId="2" fillId="0" borderId="2" xfId="2" applyFont="1" applyFill="1" applyBorder="1"/>
    <xf numFmtId="169" fontId="2" fillId="0" borderId="3" xfId="7" applyNumberFormat="1" applyFont="1" applyFill="1" applyBorder="1"/>
    <xf numFmtId="3" fontId="4" fillId="0" borderId="4" xfId="2" applyNumberFormat="1" applyFont="1" applyFill="1" applyBorder="1"/>
    <xf numFmtId="3" fontId="2" fillId="0" borderId="0" xfId="2" applyNumberFormat="1" applyFont="1" applyFill="1" applyBorder="1" applyAlignment="1" applyProtection="1">
      <alignment horizontal="right"/>
    </xf>
    <xf numFmtId="3" fontId="4" fillId="0" borderId="0" xfId="2" applyNumberFormat="1" applyFont="1" applyFill="1" applyBorder="1" applyAlignment="1">
      <alignment vertical="center"/>
    </xf>
    <xf numFmtId="3" fontId="4" fillId="0" borderId="5" xfId="2" applyNumberFormat="1" applyFont="1" applyFill="1" applyBorder="1" applyAlignment="1" applyProtection="1">
      <alignment vertical="center"/>
    </xf>
    <xf numFmtId="0" fontId="4" fillId="0" borderId="0" xfId="2" applyFont="1" applyFill="1" applyBorder="1" applyAlignment="1">
      <alignment vertical="center"/>
    </xf>
    <xf numFmtId="3" fontId="2" fillId="0" borderId="6" xfId="2" applyNumberFormat="1" applyFont="1" applyFill="1" applyBorder="1" applyProtection="1"/>
    <xf numFmtId="3" fontId="4" fillId="0" borderId="0" xfId="2" applyNumberFormat="1" applyFont="1" applyFill="1" applyBorder="1" applyProtection="1"/>
    <xf numFmtId="3" fontId="2" fillId="0" borderId="0" xfId="2" applyNumberFormat="1" applyFont="1" applyFill="1" applyBorder="1" applyProtection="1"/>
    <xf numFmtId="3" fontId="4" fillId="0" borderId="0" xfId="2" applyNumberFormat="1" applyFont="1" applyFill="1" applyBorder="1" applyAlignment="1" applyProtection="1">
      <alignment vertical="center"/>
    </xf>
    <xf numFmtId="10" fontId="2" fillId="0" borderId="0" xfId="6" applyNumberFormat="1" applyFont="1" applyFill="1" applyBorder="1" applyProtection="1">
      <protection locked="0"/>
    </xf>
    <xf numFmtId="3" fontId="2" fillId="0" borderId="0" xfId="2" applyNumberFormat="1" applyFont="1" applyFill="1" applyBorder="1" applyProtection="1">
      <protection locked="0"/>
    </xf>
    <xf numFmtId="3" fontId="2" fillId="2" borderId="7" xfId="2" applyNumberFormat="1" applyFont="1" applyFill="1" applyBorder="1" applyProtection="1">
      <protection locked="0"/>
    </xf>
    <xf numFmtId="0" fontId="2" fillId="0" borderId="0" xfId="2" applyFont="1" applyFill="1" applyBorder="1" applyAlignment="1">
      <alignment vertical="center"/>
    </xf>
    <xf numFmtId="3" fontId="2" fillId="2" borderId="0" xfId="2" applyNumberFormat="1" applyFont="1" applyFill="1" applyBorder="1" applyProtection="1">
      <protection locked="0"/>
    </xf>
    <xf numFmtId="10" fontId="2" fillId="2" borderId="6" xfId="6" applyNumberFormat="1" applyFont="1" applyFill="1" applyBorder="1" applyProtection="1">
      <protection locked="0"/>
    </xf>
    <xf numFmtId="3" fontId="2" fillId="2" borderId="6" xfId="2" applyNumberFormat="1" applyFont="1" applyFill="1" applyBorder="1" applyProtection="1">
      <protection locked="0"/>
    </xf>
    <xf numFmtId="3" fontId="2" fillId="0" borderId="0" xfId="2" applyNumberFormat="1" applyFont="1" applyFill="1" applyBorder="1" applyAlignment="1" applyProtection="1">
      <alignment vertical="center"/>
    </xf>
    <xf numFmtId="10" fontId="2" fillId="0" borderId="0" xfId="2" applyNumberFormat="1" applyFont="1" applyFill="1" applyBorder="1"/>
    <xf numFmtId="0" fontId="2" fillId="0" borderId="0" xfId="2" applyFont="1" applyFill="1" applyBorder="1" applyAlignment="1">
      <alignment horizontal="right"/>
    </xf>
    <xf numFmtId="9" fontId="2" fillId="0" borderId="0" xfId="6" applyFont="1" applyFill="1" applyBorder="1"/>
    <xf numFmtId="3" fontId="2" fillId="0" borderId="6" xfId="2" applyNumberFormat="1" applyFont="1" applyFill="1" applyBorder="1"/>
    <xf numFmtId="3" fontId="2" fillId="2" borderId="0" xfId="2" applyNumberFormat="1" applyFont="1" applyFill="1" applyBorder="1" applyAlignment="1" applyProtection="1">
      <alignment horizontal="right"/>
      <protection locked="0"/>
    </xf>
    <xf numFmtId="0" fontId="2" fillId="0" borderId="0" xfId="2" applyFont="1" applyFill="1" applyBorder="1" applyProtection="1"/>
    <xf numFmtId="164" fontId="2" fillId="0" borderId="0" xfId="3" applyNumberFormat="1" applyFont="1" applyFill="1" applyBorder="1" applyProtection="1"/>
    <xf numFmtId="0" fontId="4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0" xfId="2" applyFont="1" applyFill="1" applyBorder="1" applyAlignment="1">
      <alignment horizontal="left"/>
    </xf>
    <xf numFmtId="0" fontId="2" fillId="0" borderId="7" xfId="2" applyFont="1" applyFill="1" applyBorder="1" applyAlignment="1">
      <alignment horizontal="right"/>
    </xf>
    <xf numFmtId="0" fontId="5" fillId="0" borderId="0" xfId="0" applyFont="1"/>
    <xf numFmtId="0" fontId="4" fillId="0" borderId="0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/>
    </xf>
  </cellXfs>
  <cellStyles count="15">
    <cellStyle name="Euro" xfId="8"/>
    <cellStyle name="Euro 2" xfId="5"/>
    <cellStyle name="Komma" xfId="1" builtinId="3"/>
    <cellStyle name="Komma 2" xfId="9"/>
    <cellStyle name="Komma 3" xfId="3"/>
    <cellStyle name="Komma 4" xfId="10"/>
    <cellStyle name="Komma_Begroting EFS 2005b" xfId="4"/>
    <cellStyle name="Normal_BTW" xfId="11"/>
    <cellStyle name="Procent 2" xfId="12"/>
    <cellStyle name="Procent 3" xfId="6"/>
    <cellStyle name="Standaard" xfId="0" builtinId="0"/>
    <cellStyle name="Standaard 2" xfId="2"/>
    <cellStyle name="Standaard 3" xfId="13"/>
    <cellStyle name="Valuta 2" xfId="14"/>
    <cellStyle name="Valuta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10"/>
  <sheetViews>
    <sheetView showGridLines="0" tabSelected="1" zoomScaleNormal="75" workbookViewId="0">
      <selection activeCell="A10" sqref="A10"/>
    </sheetView>
  </sheetViews>
  <sheetFormatPr defaultColWidth="10.7109375" defaultRowHeight="15"/>
  <cols>
    <col min="1" max="1" width="50.5703125" style="1" customWidth="1"/>
    <col min="2" max="2" width="13.42578125" style="1" customWidth="1"/>
    <col min="3" max="3" width="1.7109375" style="1" customWidth="1"/>
    <col min="4" max="4" width="3.28515625" style="1" customWidth="1"/>
    <col min="5" max="5" width="8.85546875" style="1" bestFit="1" customWidth="1"/>
    <col min="6" max="6" width="3.42578125" style="1" customWidth="1"/>
    <col min="7" max="7" width="10.7109375" style="1" customWidth="1"/>
    <col min="8" max="8" width="11.7109375" style="1" customWidth="1"/>
    <col min="9" max="9" width="10.7109375" style="2" customWidth="1"/>
    <col min="10" max="16384" width="10.7109375" style="1"/>
  </cols>
  <sheetData>
    <row r="1" spans="1:255">
      <c r="A1" s="54" t="s">
        <v>63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</row>
    <row r="3" spans="1:255">
      <c r="B3" s="53">
        <v>2015</v>
      </c>
      <c r="D3" s="43"/>
    </row>
    <row r="4" spans="1:255" s="47" customFormat="1">
      <c r="A4" s="52"/>
      <c r="B4" s="51" t="s">
        <v>62</v>
      </c>
      <c r="C4" s="50"/>
      <c r="D4" s="49"/>
      <c r="I4" s="48"/>
    </row>
    <row r="5" spans="1:255">
      <c r="A5" s="1" t="s">
        <v>61</v>
      </c>
      <c r="B5" s="46">
        <v>0</v>
      </c>
      <c r="C5" s="5"/>
      <c r="D5" s="5"/>
      <c r="E5" s="20"/>
    </row>
    <row r="6" spans="1:255">
      <c r="A6" s="1" t="s">
        <v>54</v>
      </c>
      <c r="B6" s="46" t="s">
        <v>18</v>
      </c>
      <c r="C6" s="5"/>
      <c r="D6" s="5"/>
      <c r="E6" s="20"/>
    </row>
    <row r="7" spans="1:255">
      <c r="A7" s="1" t="s">
        <v>64</v>
      </c>
      <c r="B7" s="46" t="s">
        <v>18</v>
      </c>
      <c r="C7" s="21"/>
      <c r="D7" s="5"/>
      <c r="E7" s="20"/>
      <c r="G7" s="5"/>
    </row>
    <row r="8" spans="1:255">
      <c r="A8" s="1" t="s">
        <v>60</v>
      </c>
      <c r="B8" s="46" t="s">
        <v>18</v>
      </c>
      <c r="C8" s="21"/>
      <c r="D8" s="5"/>
      <c r="E8" s="20"/>
      <c r="G8" s="5"/>
    </row>
    <row r="9" spans="1:255">
      <c r="A9" s="1" t="s">
        <v>59</v>
      </c>
      <c r="B9" s="46" t="s">
        <v>18</v>
      </c>
      <c r="C9" s="21"/>
      <c r="D9" s="26"/>
      <c r="E9" s="20"/>
      <c r="G9" s="5"/>
    </row>
    <row r="10" spans="1:255">
      <c r="A10" s="1" t="s">
        <v>58</v>
      </c>
      <c r="B10" s="38">
        <v>0</v>
      </c>
      <c r="D10" s="5"/>
      <c r="E10" s="24">
        <f>B10/12</f>
        <v>0</v>
      </c>
      <c r="F10" s="23" t="s">
        <v>35</v>
      </c>
      <c r="G10" s="22"/>
      <c r="H10" s="17"/>
    </row>
    <row r="11" spans="1:255">
      <c r="A11" s="1" t="s">
        <v>57</v>
      </c>
      <c r="B11" s="36">
        <v>0</v>
      </c>
      <c r="D11" s="5"/>
      <c r="E11" s="24">
        <f>B11/12</f>
        <v>0</v>
      </c>
      <c r="F11" s="23" t="s">
        <v>35</v>
      </c>
      <c r="G11" s="22"/>
    </row>
    <row r="12" spans="1:255" hidden="1">
      <c r="A12" s="1" t="s">
        <v>56</v>
      </c>
      <c r="B12" s="5"/>
      <c r="D12" s="35"/>
      <c r="E12" s="20"/>
      <c r="G12" s="5"/>
    </row>
    <row r="13" spans="1:255" hidden="1">
      <c r="A13" s="1" t="str">
        <f>"Salaris DGA (min. EUR "&amp;I74&amp;")"</f>
        <v>Salaris DGA (min. EUR 44000)</v>
      </c>
      <c r="B13" s="45"/>
      <c r="D13" s="35"/>
      <c r="E13" s="20"/>
      <c r="G13" s="44"/>
    </row>
    <row r="14" spans="1:255">
      <c r="A14" s="29" t="s">
        <v>55</v>
      </c>
      <c r="B14" s="33">
        <f>+B10-B11-B13</f>
        <v>0</v>
      </c>
      <c r="C14" s="27"/>
      <c r="D14" s="27"/>
      <c r="E14" s="24">
        <f>B14/12</f>
        <v>0</v>
      </c>
      <c r="F14" s="23" t="s">
        <v>35</v>
      </c>
      <c r="G14" s="22"/>
    </row>
    <row r="15" spans="1:255">
      <c r="A15" s="1" t="s">
        <v>54</v>
      </c>
      <c r="B15" s="30">
        <f>IF(B6="ja",MIN(0.12*(B14-B19),I73),0)</f>
        <v>0</v>
      </c>
      <c r="D15" s="5"/>
      <c r="E15" s="20"/>
      <c r="G15" s="5"/>
    </row>
    <row r="16" spans="1:255">
      <c r="A16" s="29" t="s">
        <v>53</v>
      </c>
      <c r="B16" s="33">
        <f>+B14-B15</f>
        <v>0</v>
      </c>
      <c r="C16" s="27"/>
      <c r="D16" s="27"/>
      <c r="E16" s="20"/>
      <c r="G16" s="5"/>
      <c r="I16" s="1"/>
    </row>
    <row r="17" spans="1:9">
      <c r="A17" s="1" t="s">
        <v>52</v>
      </c>
      <c r="B17" s="32">
        <f>IF(B7="ja",I67,0)</f>
        <v>0</v>
      </c>
      <c r="D17" s="21"/>
      <c r="E17" s="20"/>
      <c r="G17" s="5"/>
      <c r="I17" s="1"/>
    </row>
    <row r="18" spans="1:9">
      <c r="A18" s="1" t="s">
        <v>27</v>
      </c>
      <c r="B18" s="32">
        <f>IF(B8="ja",I68,0)</f>
        <v>0</v>
      </c>
      <c r="D18" s="5"/>
      <c r="E18" s="20"/>
      <c r="G18" s="5"/>
      <c r="I18" s="1"/>
    </row>
    <row r="19" spans="1:9">
      <c r="A19" s="1" t="s">
        <v>51</v>
      </c>
      <c r="B19" s="30">
        <f>IF(B5&lt;H51,0,IF(B5&lt;=H52,B5*I52/100,IF(B5&lt;=H53,I53,IF(B5&lt;=H54,I53-I54*(B5-H53),0))))</f>
        <v>0</v>
      </c>
      <c r="D19" s="5"/>
      <c r="E19" s="20"/>
      <c r="G19" s="5"/>
      <c r="I19" s="1"/>
    </row>
    <row r="20" spans="1:9">
      <c r="A20" s="29" t="s">
        <v>50</v>
      </c>
      <c r="B20" s="33">
        <f>IF(+B16-B17-B18-B19&lt;0,0,+B16-B17-B18-B19)</f>
        <v>0</v>
      </c>
      <c r="C20" s="27"/>
      <c r="D20" s="27"/>
      <c r="E20" s="20"/>
      <c r="G20" s="5"/>
      <c r="I20" s="1"/>
    </row>
    <row r="21" spans="1:9">
      <c r="A21" s="1" t="str">
        <f>"Winstvrijstelling ("&amp;I69*100&amp;"%)"</f>
        <v>Winstvrijstelling (14%)</v>
      </c>
      <c r="B21" s="30">
        <f>+B20*I69</f>
        <v>0</v>
      </c>
      <c r="D21" s="5"/>
      <c r="E21" s="20"/>
      <c r="I21" s="1"/>
    </row>
    <row r="22" spans="1:9">
      <c r="A22" s="29" t="s">
        <v>49</v>
      </c>
      <c r="B22" s="33">
        <f>+B20-B21</f>
        <v>0</v>
      </c>
      <c r="C22" s="27"/>
      <c r="D22" s="27"/>
      <c r="E22" s="20"/>
      <c r="H22" s="43"/>
      <c r="I22" s="1"/>
    </row>
    <row r="23" spans="1:9">
      <c r="A23" s="37" t="s">
        <v>48</v>
      </c>
      <c r="B23" s="41">
        <f>ROUNDDOWN(G23*H23,0)</f>
        <v>0</v>
      </c>
      <c r="C23" s="27"/>
      <c r="D23" s="27"/>
      <c r="E23" s="20" t="s">
        <v>47</v>
      </c>
      <c r="G23" s="40">
        <v>0</v>
      </c>
      <c r="H23" s="42">
        <v>7.4999999999999997E-3</v>
      </c>
      <c r="I23" s="1"/>
    </row>
    <row r="24" spans="1:9">
      <c r="A24" s="37" t="s">
        <v>46</v>
      </c>
      <c r="B24" s="41">
        <f>-ROUNDUP(G24*H24,0)</f>
        <v>0</v>
      </c>
      <c r="C24" s="27"/>
      <c r="D24" s="27"/>
      <c r="E24" s="20" t="s">
        <v>45</v>
      </c>
      <c r="G24" s="40">
        <v>0</v>
      </c>
      <c r="H24" s="39">
        <v>0.04</v>
      </c>
      <c r="I24" s="1"/>
    </row>
    <row r="25" spans="1:9">
      <c r="A25" s="37" t="s">
        <v>44</v>
      </c>
      <c r="B25" s="38">
        <v>0</v>
      </c>
      <c r="C25" s="27"/>
      <c r="D25" s="27"/>
      <c r="E25" s="20"/>
      <c r="G25" s="35"/>
      <c r="H25" s="34"/>
      <c r="I25" s="1"/>
    </row>
    <row r="26" spans="1:9">
      <c r="A26" s="37" t="s">
        <v>43</v>
      </c>
      <c r="B26" s="36">
        <v>0</v>
      </c>
      <c r="C26" s="27"/>
      <c r="D26" s="27"/>
      <c r="E26" s="20"/>
      <c r="G26" s="35"/>
      <c r="H26" s="34"/>
      <c r="I26" s="1"/>
    </row>
    <row r="27" spans="1:9">
      <c r="A27" s="29" t="s">
        <v>42</v>
      </c>
      <c r="B27" s="33">
        <f>SUM(B22:B26)</f>
        <v>0</v>
      </c>
      <c r="C27" s="27"/>
      <c r="D27" s="27"/>
      <c r="E27" s="20"/>
      <c r="I27" s="1"/>
    </row>
    <row r="28" spans="1:9">
      <c r="A28" s="1" t="str">
        <f>"Belasting schijf 1: "&amp;'2015'!I61&amp;"% over EUR "&amp;'2015'!H61</f>
        <v>Belasting schijf 1: 36,5% over EUR 19822</v>
      </c>
      <c r="B28" s="32">
        <f>IF(B27&lt;=0,0,IF(B27&gt;$H$61,$H$61*$I$61/100,B27*$I$61/100))</f>
        <v>0</v>
      </c>
      <c r="C28" s="5"/>
      <c r="D28" s="5"/>
      <c r="E28" s="20"/>
      <c r="I28" s="1"/>
    </row>
    <row r="29" spans="1:9">
      <c r="A29" s="1" t="str">
        <f>"Belasting schijf 2: "&amp;'2015'!I62&amp;"% over EUR "&amp;'2015'!H62</f>
        <v>Belasting schijf 2: 41,95% over EUR 33589</v>
      </c>
      <c r="B29" s="32">
        <f>IF(AND(B27&gt;$H$61,B27&lt;=$H$62),+$I$62/100*(B27-$H$61),IF(B27&gt;$H$62,+$I$62/100*($H$62-$H$61),0))</f>
        <v>0</v>
      </c>
      <c r="C29" s="5"/>
      <c r="D29" s="5"/>
      <c r="E29" s="20"/>
      <c r="I29" s="1"/>
    </row>
    <row r="30" spans="1:9">
      <c r="A30" s="1" t="str">
        <f>"Belasting schijf 3: "&amp;'2015'!I63&amp;"% over EUR "&amp;'2015'!H63</f>
        <v>Belasting schijf 3: 42% over EUR 57585</v>
      </c>
      <c r="B30" s="32">
        <f>IF(AND(B27&gt;$H$62,B27&lt;=$H$63),$I$63/100*(B27-$H$62),IF(B27&gt;$H$63,$I$63/100*($H$63-$H$62),0))</f>
        <v>0</v>
      </c>
      <c r="C30" s="5"/>
      <c r="D30" s="5"/>
      <c r="E30" s="20"/>
      <c r="I30" s="1"/>
    </row>
    <row r="31" spans="1:9">
      <c r="A31" s="1" t="str">
        <f>"Belasting schijf 4: "&amp;'2015'!I64&amp;"% groter dan EUR "&amp;'2015'!H63</f>
        <v>Belasting schijf 4: 52% groter dan EUR 57585</v>
      </c>
      <c r="B31" s="30">
        <f>IF(B27&gt;$H$63,$I$64/100*(B27-$H$63),0)</f>
        <v>0</v>
      </c>
      <c r="C31" s="5"/>
      <c r="D31" s="5"/>
      <c r="E31" s="20"/>
      <c r="I31" s="1"/>
    </row>
    <row r="32" spans="1:9">
      <c r="A32" s="1" t="s">
        <v>41</v>
      </c>
      <c r="B32" s="32">
        <f>SUM(B28:B31)</f>
        <v>0</v>
      </c>
      <c r="C32" s="5"/>
      <c r="D32" s="5"/>
      <c r="E32" s="20"/>
    </row>
    <row r="33" spans="1:9">
      <c r="A33" s="1" t="s">
        <v>40</v>
      </c>
      <c r="B33" s="32">
        <f>G91</f>
        <v>2203</v>
      </c>
      <c r="C33" s="5"/>
      <c r="D33" s="5"/>
      <c r="E33" s="20"/>
    </row>
    <row r="34" spans="1:9">
      <c r="A34" s="1" t="str">
        <f>"Inkomensafh. combinatiekorting (max. EUR "&amp;I72&amp;")"</f>
        <v>Inkomensafh. combinatiekorting (max. EUR 2152)</v>
      </c>
      <c r="B34" s="32">
        <f>IF(B27&gt;0,IF(B9="ja",$I$72,0),0)</f>
        <v>0</v>
      </c>
      <c r="C34" s="5"/>
      <c r="D34" s="5"/>
      <c r="E34" s="20"/>
    </row>
    <row r="35" spans="1:9">
      <c r="A35" s="1" t="s">
        <v>39</v>
      </c>
      <c r="B35" s="30">
        <f>G109</f>
        <v>0</v>
      </c>
      <c r="C35" s="5"/>
      <c r="D35" s="5"/>
      <c r="E35" s="20"/>
    </row>
    <row r="36" spans="1:9">
      <c r="A36" s="6" t="s">
        <v>38</v>
      </c>
      <c r="B36" s="31">
        <f>IF(+B32-B33-B35-B34&lt;0,0,+B32-B33-B35-B34)</f>
        <v>0</v>
      </c>
      <c r="C36" s="5"/>
      <c r="D36" s="4"/>
      <c r="E36" s="20"/>
    </row>
    <row r="37" spans="1:9">
      <c r="A37" s="1" t="str">
        <f>"Bijdrage Zvw ("&amp;I70*100&amp;"% van max. EUR "&amp;I71&amp;")"</f>
        <v>Bijdrage Zvw (4,85% van max. EUR 51976)</v>
      </c>
      <c r="B37" s="30">
        <f>IF(B22&gt;0,MIN(I70*B22,I70*I71),0)</f>
        <v>0</v>
      </c>
      <c r="C37" s="5"/>
      <c r="D37" s="5"/>
      <c r="E37" s="5"/>
      <c r="F37" s="5"/>
      <c r="G37" s="5"/>
    </row>
    <row r="38" spans="1:9" ht="15.75" thickBot="1">
      <c r="A38" s="29" t="s">
        <v>37</v>
      </c>
      <c r="B38" s="28">
        <f>+B16-B36-B37-B5</f>
        <v>0</v>
      </c>
      <c r="C38" s="27"/>
      <c r="D38" s="27"/>
      <c r="E38" s="24">
        <f>B38/12</f>
        <v>0</v>
      </c>
      <c r="F38" s="23" t="s">
        <v>35</v>
      </c>
      <c r="G38" s="22"/>
    </row>
    <row r="39" spans="1:9" ht="15.75" thickTop="1">
      <c r="B39" s="26"/>
      <c r="C39" s="5"/>
      <c r="D39" s="21"/>
      <c r="E39" s="20"/>
    </row>
    <row r="40" spans="1:9">
      <c r="A40" s="6"/>
      <c r="B40" s="5"/>
      <c r="D40" s="19"/>
      <c r="E40" s="20"/>
    </row>
    <row r="41" spans="1:9">
      <c r="A41" s="6" t="s">
        <v>36</v>
      </c>
      <c r="B41" s="25">
        <f>B36+B37</f>
        <v>0</v>
      </c>
      <c r="D41" s="19"/>
      <c r="E41" s="24">
        <f>B41/12</f>
        <v>0</v>
      </c>
      <c r="F41" s="23" t="s">
        <v>35</v>
      </c>
      <c r="G41" s="22"/>
    </row>
    <row r="42" spans="1:9">
      <c r="B42" s="21"/>
      <c r="D42" s="19"/>
      <c r="E42" s="20"/>
    </row>
    <row r="43" spans="1:9">
      <c r="A43" s="6"/>
      <c r="B43" s="5"/>
      <c r="D43" s="19"/>
      <c r="E43" s="18"/>
    </row>
    <row r="44" spans="1:9" ht="64.5" customHeight="1">
      <c r="E44" s="17"/>
    </row>
    <row r="46" spans="1:9">
      <c r="F46" s="17"/>
      <c r="G46" s="6" t="s">
        <v>34</v>
      </c>
    </row>
    <row r="47" spans="1:9">
      <c r="G47" s="6" t="s">
        <v>33</v>
      </c>
      <c r="I47" s="1"/>
    </row>
    <row r="48" spans="1:9">
      <c r="G48" s="55" t="s">
        <v>32</v>
      </c>
      <c r="H48" s="55"/>
      <c r="I48" s="55"/>
    </row>
    <row r="49" spans="7:9">
      <c r="G49" s="16"/>
      <c r="H49" s="16"/>
      <c r="I49" s="16"/>
    </row>
    <row r="50" spans="7:9" ht="60">
      <c r="G50" s="14" t="s">
        <v>9</v>
      </c>
      <c r="H50" s="14" t="s">
        <v>15</v>
      </c>
      <c r="I50" s="14" t="s">
        <v>29</v>
      </c>
    </row>
    <row r="51" spans="7:9">
      <c r="G51" s="8">
        <v>0</v>
      </c>
      <c r="H51" s="13">
        <v>2300</v>
      </c>
      <c r="I51" s="7">
        <v>0</v>
      </c>
    </row>
    <row r="52" spans="7:9">
      <c r="G52" s="11">
        <f>+H51</f>
        <v>2300</v>
      </c>
      <c r="H52" s="7">
        <v>55745</v>
      </c>
      <c r="I52" s="7">
        <v>28</v>
      </c>
    </row>
    <row r="53" spans="7:9">
      <c r="G53" s="7">
        <f>+H52</f>
        <v>55745</v>
      </c>
      <c r="H53" s="7">
        <v>103231</v>
      </c>
      <c r="I53" s="7">
        <v>15609</v>
      </c>
    </row>
    <row r="54" spans="7:9">
      <c r="G54" s="7">
        <f>+H53</f>
        <v>103231</v>
      </c>
      <c r="H54" s="7">
        <v>309693</v>
      </c>
      <c r="I54" s="15">
        <v>7.5600000000000001E-2</v>
      </c>
    </row>
    <row r="55" spans="7:9">
      <c r="G55" s="7">
        <f>+H54</f>
        <v>309693</v>
      </c>
      <c r="H55" s="8"/>
      <c r="I55" s="7">
        <v>0</v>
      </c>
    </row>
    <row r="56" spans="7:9">
      <c r="I56" s="1"/>
    </row>
    <row r="58" spans="7:9">
      <c r="G58" s="6" t="s">
        <v>31</v>
      </c>
      <c r="I58" s="1"/>
    </row>
    <row r="59" spans="7:9">
      <c r="G59" s="55" t="s">
        <v>30</v>
      </c>
      <c r="H59" s="55"/>
      <c r="I59" s="55"/>
    </row>
    <row r="60" spans="7:9" ht="60">
      <c r="G60" s="14" t="s">
        <v>9</v>
      </c>
      <c r="H60" s="14" t="s">
        <v>15</v>
      </c>
      <c r="I60" s="14" t="s">
        <v>29</v>
      </c>
    </row>
    <row r="61" spans="7:9">
      <c r="G61" s="13">
        <v>0</v>
      </c>
      <c r="H61" s="12">
        <v>19822</v>
      </c>
      <c r="I61" s="10">
        <v>36.5</v>
      </c>
    </row>
    <row r="62" spans="7:9">
      <c r="G62" s="11">
        <f>+H61</f>
        <v>19822</v>
      </c>
      <c r="H62" s="7">
        <v>33589</v>
      </c>
      <c r="I62" s="10">
        <v>41.95</v>
      </c>
    </row>
    <row r="63" spans="7:9">
      <c r="G63" s="7">
        <f>+H62</f>
        <v>33589</v>
      </c>
      <c r="H63" s="7">
        <v>57585</v>
      </c>
      <c r="I63" s="10">
        <v>42</v>
      </c>
    </row>
    <row r="64" spans="7:9">
      <c r="G64" s="7">
        <f>+H63</f>
        <v>57585</v>
      </c>
      <c r="H64" s="13" t="s">
        <v>28</v>
      </c>
      <c r="I64" s="10">
        <v>52</v>
      </c>
    </row>
    <row r="65" spans="7:9">
      <c r="I65" s="1"/>
    </row>
    <row r="66" spans="7:9">
      <c r="I66" s="7"/>
    </row>
    <row r="67" spans="7:9">
      <c r="G67" s="1" t="s">
        <v>52</v>
      </c>
      <c r="I67" s="7">
        <v>7280</v>
      </c>
    </row>
    <row r="68" spans="7:9">
      <c r="G68" s="1" t="s">
        <v>27</v>
      </c>
      <c r="I68" s="7">
        <v>2123</v>
      </c>
    </row>
    <row r="69" spans="7:9">
      <c r="G69" s="1" t="s">
        <v>26</v>
      </c>
      <c r="I69" s="15">
        <v>0.14000000000000001</v>
      </c>
    </row>
    <row r="70" spans="7:9">
      <c r="G70" s="1" t="s">
        <v>25</v>
      </c>
      <c r="I70" s="15">
        <v>4.8500000000000001E-2</v>
      </c>
    </row>
    <row r="71" spans="7:9">
      <c r="G71" s="1" t="s">
        <v>24</v>
      </c>
      <c r="I71" s="7">
        <v>51976</v>
      </c>
    </row>
    <row r="72" spans="7:9">
      <c r="G72" s="1" t="s">
        <v>23</v>
      </c>
      <c r="I72" s="7">
        <v>2152</v>
      </c>
    </row>
    <row r="73" spans="7:9">
      <c r="G73" s="1" t="s">
        <v>22</v>
      </c>
      <c r="I73" s="7">
        <v>8631</v>
      </c>
    </row>
    <row r="74" spans="7:9">
      <c r="G74" s="1" t="s">
        <v>21</v>
      </c>
      <c r="I74" s="7">
        <v>44000</v>
      </c>
    </row>
    <row r="75" spans="7:9">
      <c r="G75" s="1" t="s">
        <v>20</v>
      </c>
      <c r="I75" s="15">
        <v>0.25</v>
      </c>
    </row>
    <row r="76" spans="7:9">
      <c r="I76" s="1" t="s">
        <v>19</v>
      </c>
    </row>
    <row r="77" spans="7:9">
      <c r="I77" s="1" t="s">
        <v>18</v>
      </c>
    </row>
    <row r="78" spans="7:9">
      <c r="I78" s="1"/>
    </row>
    <row r="80" spans="7:9">
      <c r="G80" s="55" t="s">
        <v>17</v>
      </c>
      <c r="H80" s="55"/>
      <c r="I80" s="55"/>
    </row>
    <row r="81" spans="2:9">
      <c r="G81" s="56" t="s">
        <v>16</v>
      </c>
      <c r="H81" s="56"/>
      <c r="I81" s="56"/>
    </row>
    <row r="82" spans="2:9" ht="75">
      <c r="G82" s="14" t="s">
        <v>9</v>
      </c>
      <c r="H82" s="14" t="s">
        <v>15</v>
      </c>
      <c r="I82" s="14" t="s">
        <v>14</v>
      </c>
    </row>
    <row r="83" spans="2:9">
      <c r="E83" s="1">
        <v>1</v>
      </c>
      <c r="G83" s="13">
        <v>0</v>
      </c>
      <c r="H83" s="12">
        <v>19822</v>
      </c>
      <c r="I83" s="9">
        <v>2203</v>
      </c>
    </row>
    <row r="84" spans="2:9">
      <c r="E84" s="1">
        <v>2</v>
      </c>
      <c r="G84" s="11">
        <f>+H83</f>
        <v>19822</v>
      </c>
      <c r="H84" s="7">
        <v>56935</v>
      </c>
      <c r="I84" s="10" t="s">
        <v>13</v>
      </c>
    </row>
    <row r="85" spans="2:9">
      <c r="E85" s="1">
        <v>3</v>
      </c>
      <c r="G85" s="7">
        <f>+H84</f>
        <v>56935</v>
      </c>
      <c r="H85" s="7">
        <v>0</v>
      </c>
      <c r="I85" s="9">
        <v>1342</v>
      </c>
    </row>
    <row r="86" spans="2:9">
      <c r="G86" s="7"/>
      <c r="H86" s="8"/>
      <c r="I86" s="7"/>
    </row>
    <row r="87" spans="2:9">
      <c r="B87" s="1" t="s">
        <v>12</v>
      </c>
      <c r="E87" s="5">
        <f>B27</f>
        <v>0</v>
      </c>
      <c r="G87" s="5"/>
      <c r="I87" s="1"/>
    </row>
    <row r="88" spans="2:9">
      <c r="E88" s="1">
        <v>1</v>
      </c>
      <c r="G88" s="3">
        <f>IF(B27&lt;H83,I83,0)</f>
        <v>2203</v>
      </c>
    </row>
    <row r="89" spans="2:9">
      <c r="E89" s="1">
        <v>2</v>
      </c>
      <c r="G89" s="3">
        <f>IF(AND(B27&gt;G84,B27&lt;H84),I83-0.0232*(B27-G84),0)</f>
        <v>0</v>
      </c>
    </row>
    <row r="90" spans="2:9">
      <c r="E90" s="1">
        <v>3</v>
      </c>
      <c r="G90" s="3">
        <f>IF(B27&gt;G85,I85,0)</f>
        <v>0</v>
      </c>
    </row>
    <row r="91" spans="2:9">
      <c r="B91" s="1" t="s">
        <v>11</v>
      </c>
      <c r="G91" s="4">
        <f>SUM(G88:G90)</f>
        <v>2203</v>
      </c>
    </row>
    <row r="95" spans="2:9">
      <c r="G95" s="6" t="s">
        <v>10</v>
      </c>
    </row>
    <row r="96" spans="2:9">
      <c r="G96" s="1" t="s">
        <v>9</v>
      </c>
      <c r="H96" s="1" t="s">
        <v>8</v>
      </c>
      <c r="I96" s="2" t="s">
        <v>7</v>
      </c>
    </row>
    <row r="97" spans="2:9">
      <c r="E97" s="1">
        <v>1</v>
      </c>
      <c r="G97" s="3">
        <v>0</v>
      </c>
      <c r="H97" s="3">
        <v>9010</v>
      </c>
      <c r="I97" s="2" t="s">
        <v>6</v>
      </c>
    </row>
    <row r="98" spans="2:9">
      <c r="E98" s="1">
        <v>2</v>
      </c>
      <c r="G98" s="3">
        <f>H97</f>
        <v>9010</v>
      </c>
      <c r="H98" s="3">
        <v>19463</v>
      </c>
      <c r="I98" s="2" t="s">
        <v>5</v>
      </c>
    </row>
    <row r="99" spans="2:9">
      <c r="E99" s="1">
        <v>3</v>
      </c>
      <c r="G99" s="3">
        <f>H98</f>
        <v>19463</v>
      </c>
      <c r="H99" s="3">
        <v>49770</v>
      </c>
      <c r="I99" s="2" t="s">
        <v>4</v>
      </c>
    </row>
    <row r="100" spans="2:9">
      <c r="E100" s="1">
        <v>4</v>
      </c>
      <c r="G100" s="3">
        <f>H99</f>
        <v>49770</v>
      </c>
      <c r="H100" s="3">
        <v>100670</v>
      </c>
      <c r="I100" s="2" t="s">
        <v>3</v>
      </c>
    </row>
    <row r="101" spans="2:9">
      <c r="E101" s="1">
        <v>5</v>
      </c>
      <c r="G101" s="3">
        <f>H100</f>
        <v>100670</v>
      </c>
      <c r="H101" s="3">
        <v>0</v>
      </c>
      <c r="I101" s="2" t="s">
        <v>2</v>
      </c>
    </row>
    <row r="102" spans="2:9">
      <c r="G102" s="3"/>
      <c r="H102" s="3"/>
    </row>
    <row r="103" spans="2:9">
      <c r="B103" s="1" t="s">
        <v>1</v>
      </c>
      <c r="E103" s="5">
        <f>B22</f>
        <v>0</v>
      </c>
      <c r="G103" s="3"/>
      <c r="H103" s="3"/>
      <c r="I103" s="2">
        <f>2220-0.04*(77913-49770)</f>
        <v>1094.28</v>
      </c>
    </row>
    <row r="104" spans="2:9">
      <c r="E104" s="1">
        <v>1</v>
      </c>
      <c r="G104" s="3">
        <f>IF(B14&lt;H97,0.0181*B14,0)</f>
        <v>0</v>
      </c>
      <c r="H104" s="3"/>
    </row>
    <row r="105" spans="2:9">
      <c r="E105" s="1">
        <v>2</v>
      </c>
      <c r="G105" s="3">
        <f>IF(AND(B14&gt;G98,B14&lt;H98),163+0.19679*(B14-G98),0)</f>
        <v>0</v>
      </c>
      <c r="H105" s="3"/>
    </row>
    <row r="106" spans="2:9">
      <c r="E106" s="1">
        <v>3</v>
      </c>
      <c r="G106" s="3">
        <f>IF(AND(B14&gt;G99,B14&lt;H99),2220,0)</f>
        <v>0</v>
      </c>
    </row>
    <row r="107" spans="2:9">
      <c r="E107" s="1">
        <v>4</v>
      </c>
      <c r="G107" s="3">
        <f>IF(AND(B14&gt;G100,B14&lt;H100),2220-0.04*(B14-G100),0)</f>
        <v>0</v>
      </c>
    </row>
    <row r="108" spans="2:9">
      <c r="E108" s="1">
        <v>5</v>
      </c>
      <c r="G108" s="3">
        <f>IF(B14&gt;G101,184,0)</f>
        <v>0</v>
      </c>
    </row>
    <row r="109" spans="2:9">
      <c r="B109" s="1" t="s">
        <v>0</v>
      </c>
      <c r="G109" s="4">
        <f>SUM(G104:G108)</f>
        <v>0</v>
      </c>
    </row>
    <row r="110" spans="2:9">
      <c r="E110" s="3"/>
      <c r="F110" s="3"/>
    </row>
  </sheetData>
  <mergeCells count="4">
    <mergeCell ref="G48:I48"/>
    <mergeCell ref="G59:I59"/>
    <mergeCell ref="G80:I80"/>
    <mergeCell ref="G81:I81"/>
  </mergeCells>
  <dataValidations count="1">
    <dataValidation type="list" allowBlank="1" showInputMessage="1" showErrorMessage="1" sqref="D9 B6:B9">
      <formula1>$I$76:$I$77</formula1>
    </dataValidation>
  </dataValidations>
  <pageMargins left="0.99" right="0.59055118110236227" top="0.78740157480314965" bottom="0.59055118110236227" header="0.11811023622047245" footer="0.11811023622047245"/>
  <pageSetup paperSize="9" orientation="portrait" r:id="rId1"/>
  <headerFooter alignWithMargins="0">
    <oddFooter>&amp;L&amp;"Calibri,Standaard"&amp;F&amp;C&amp;"Calibri,Standaard"&amp;D &amp;T&amp;R&amp;"Calibri,Standaard"Geen accountantscontrole toegepast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5</vt:i4>
      </vt:variant>
    </vt:vector>
  </HeadingPairs>
  <TitlesOfParts>
    <vt:vector size="6" baseType="lpstr">
      <vt:lpstr>2015</vt:lpstr>
      <vt:lpstr>'2015'!a..zz</vt:lpstr>
      <vt:lpstr>'2015'!Afdrukbereik</vt:lpstr>
      <vt:lpstr>'2015'!Afdruktitels</vt:lpstr>
      <vt:lpstr>'2015'!f..zz</vt:lpstr>
      <vt:lpstr>'2015'!j..zz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Willeke de Waal</dc:creator>
  <cp:lastModifiedBy>Willeke de Waal</cp:lastModifiedBy>
  <dcterms:created xsi:type="dcterms:W3CDTF">2015-08-12T06:47:56Z</dcterms:created>
  <dcterms:modified xsi:type="dcterms:W3CDTF">2015-08-12T06:58:18Z</dcterms:modified>
</cp:coreProperties>
</file>